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epData\!PROGRAMS\!CUSTOM\Northwest\OMP\OMP Cohort 1 2019-2020\January Pre Reads\"/>
    </mc:Choice>
  </mc:AlternateContent>
  <bookViews>
    <workbookView xWindow="0" yWindow="0" windowWidth="20490" windowHeight="9150" tabRatio="769"/>
  </bookViews>
  <sheets>
    <sheet name="Exhibit 1" sheetId="1" r:id="rId1"/>
    <sheet name="Exhibit 3" sheetId="2" r:id="rId2"/>
    <sheet name="Exhibit 4" sheetId="3" r:id="rId3"/>
    <sheet name="Exhibit 5 " sheetId="4" r:id="rId4"/>
    <sheet name="Exhibit 6" sheetId="5" r:id="rId5"/>
    <sheet name="Sales Growth US, Reg, District" sheetId="6" r:id="rId6"/>
    <sheet name="Buying Power Index" sheetId="7" r:id="rId7"/>
    <sheet name="Sheet1" sheetId="8" r:id="rId8"/>
  </sheets>
  <calcPr calcId="171027"/>
  <customWorkbookViews>
    <customWorkbookView name="apetrosy - Personal View" guid="{9E77C585-9C41-42EA-85E3-7AAA1E1E0A18}" mergeInterval="0" personalView="1" xWindow="2" yWindow="49" windowWidth="2734" windowHeight="1742" tabRatio="769" activeSheetId="1"/>
    <customWorkbookView name="Lafkas, John - Personal View" guid="{936D58C3-40C6-49C3-8AEB-F72AB34820B1}" mergeInterval="0" personalView="1" maximized="1" xWindow="-8" yWindow="-8" windowWidth="1382" windowHeight="744" tabRatio="769" activeSheetId="2"/>
    <customWorkbookView name="Zalosh - Personal View" guid="{43597BCB-7C18-4130-B479-76F8E131D73A}" mergeInterval="0" personalView="1" maximized="1" xWindow="67" yWindow="-8" windowWidth="1861" windowHeight="1096" tabRatio="769" activeSheetId="7"/>
  </customWorkbookViews>
</workbook>
</file>

<file path=xl/calcChain.xml><?xml version="1.0" encoding="utf-8"?>
<calcChain xmlns="http://schemas.openxmlformats.org/spreadsheetml/2006/main">
  <c r="F8" i="4" l="1"/>
  <c r="F7" i="4"/>
  <c r="F6" i="4"/>
  <c r="D3" i="7"/>
  <c r="E10" i="5" l="1"/>
  <c r="E9" i="2"/>
  <c r="C3" i="7" l="1"/>
  <c r="C4" i="7"/>
  <c r="C2" i="7"/>
  <c r="D10" i="5" l="1"/>
  <c r="D12" i="5"/>
  <c r="G11" i="3"/>
  <c r="G10" i="5"/>
  <c r="G12" i="5" s="1"/>
  <c r="F5" i="4" l="1"/>
  <c r="D9" i="2" l="1"/>
  <c r="F9" i="2"/>
  <c r="H9" i="2"/>
  <c r="B9" i="2"/>
  <c r="G9" i="2"/>
  <c r="C8" i="7" l="1"/>
  <c r="C6" i="7"/>
  <c r="C7" i="7"/>
  <c r="B5" i="2"/>
  <c r="D5" i="2"/>
  <c r="F5" i="2"/>
  <c r="G5" i="2"/>
  <c r="H5" i="2"/>
  <c r="B6" i="2"/>
  <c r="D6" i="2"/>
  <c r="F6" i="2"/>
  <c r="G6" i="2"/>
  <c r="H6" i="2"/>
  <c r="B7" i="2"/>
  <c r="D7" i="2"/>
  <c r="F7" i="2"/>
  <c r="G7" i="2"/>
  <c r="H7" i="2"/>
  <c r="B8" i="2"/>
  <c r="D8" i="2"/>
  <c r="F8" i="2"/>
  <c r="G8" i="2"/>
  <c r="H8" i="2"/>
  <c r="C9" i="2"/>
  <c r="C5" i="2" s="1"/>
  <c r="E5" i="2"/>
  <c r="F8" i="5"/>
  <c r="F10" i="5" s="1"/>
  <c r="F12" i="5" s="1"/>
  <c r="C11" i="4"/>
  <c r="B11" i="4"/>
  <c r="C10" i="4"/>
  <c r="B10" i="4"/>
  <c r="C9" i="4"/>
  <c r="B9" i="4"/>
  <c r="C8" i="4"/>
  <c r="B8" i="4"/>
  <c r="B7" i="4"/>
  <c r="B6" i="4"/>
  <c r="C7" i="4"/>
  <c r="C6" i="4"/>
  <c r="F11" i="4"/>
  <c r="F9" i="4"/>
  <c r="F10" i="4"/>
  <c r="E8" i="4"/>
  <c r="E7" i="4"/>
  <c r="F11" i="3"/>
  <c r="B10" i="3"/>
  <c r="D8" i="7" s="1"/>
  <c r="B9" i="3"/>
  <c r="D7" i="7" s="1"/>
  <c r="B8" i="3"/>
  <c r="D6" i="7" s="1"/>
  <c r="B7" i="3"/>
  <c r="D5" i="7" s="1"/>
  <c r="B6" i="3"/>
  <c r="D4" i="7" s="1"/>
  <c r="B5" i="3"/>
  <c r="B4" i="3"/>
  <c r="B8" i="6"/>
  <c r="C8" i="6" s="1"/>
  <c r="C7" i="6" s="1"/>
  <c r="C6" i="6" s="1"/>
  <c r="D8" i="6"/>
  <c r="D7" i="6" s="1"/>
  <c r="D6" i="6" s="1"/>
  <c r="H11" i="1"/>
  <c r="G10" i="1"/>
  <c r="B7" i="1"/>
  <c r="E7" i="1" s="1"/>
  <c r="F7" i="1" s="1"/>
  <c r="B10" i="1"/>
  <c r="D10" i="1" s="1"/>
  <c r="B9" i="1"/>
  <c r="D9" i="1" s="1"/>
  <c r="B8" i="1"/>
  <c r="E8" i="1" s="1"/>
  <c r="F8" i="1" s="1"/>
  <c r="B7" i="6" l="1"/>
  <c r="B6" i="6" s="1"/>
  <c r="D4" i="3"/>
  <c r="D2" i="7"/>
  <c r="E12" i="4"/>
  <c r="D7" i="1"/>
  <c r="E12" i="5"/>
  <c r="C5" i="7"/>
  <c r="C9" i="7" s="1"/>
  <c r="D7" i="3"/>
  <c r="E8" i="2"/>
  <c r="C8" i="2"/>
  <c r="I8" i="2" s="1"/>
  <c r="H10" i="1" s="1"/>
  <c r="E6" i="2"/>
  <c r="C6" i="2"/>
  <c r="D5" i="3"/>
  <c r="E7" i="2"/>
  <c r="I7" i="2" s="1"/>
  <c r="H9" i="1" s="1"/>
  <c r="C7" i="2"/>
  <c r="D8" i="3"/>
  <c r="D9" i="3"/>
  <c r="B11" i="3"/>
  <c r="C8" i="3" s="1"/>
  <c r="D10" i="3"/>
  <c r="I5" i="2"/>
  <c r="H7" i="1" s="1"/>
  <c r="D6" i="3"/>
  <c r="I6" i="2"/>
  <c r="H8" i="1" s="1"/>
  <c r="D11" i="1"/>
  <c r="C11" i="1" s="1"/>
  <c r="E9" i="1"/>
  <c r="F9" i="1" s="1"/>
  <c r="E10" i="1"/>
  <c r="F10" i="1" s="1"/>
  <c r="D8" i="1"/>
  <c r="F11" i="1" l="1"/>
  <c r="D9" i="7"/>
  <c r="E11" i="1"/>
  <c r="C6" i="3"/>
  <c r="C7" i="3"/>
  <c r="C4" i="3"/>
  <c r="C10" i="3"/>
  <c r="C5" i="3"/>
  <c r="C9" i="3"/>
  <c r="D11" i="3"/>
  <c r="E6" i="3" s="1"/>
  <c r="E5" i="3" l="1"/>
  <c r="E7" i="3"/>
  <c r="E9" i="3"/>
  <c r="E4" i="3"/>
  <c r="E8" i="3"/>
  <c r="E10" i="3"/>
  <c r="C5" i="4"/>
  <c r="C12" i="4" s="1"/>
  <c r="D12" i="4"/>
  <c r="B5" i="4"/>
  <c r="B12" i="4" s="1"/>
  <c r="F12" i="4" l="1"/>
</calcChain>
</file>

<file path=xl/sharedStrings.xml><?xml version="1.0" encoding="utf-8"?>
<sst xmlns="http://schemas.openxmlformats.org/spreadsheetml/2006/main" count="115" uniqueCount="71">
  <si>
    <t>Product Line</t>
  </si>
  <si>
    <t>2011 Sales</t>
  </si>
  <si>
    <t>Product</t>
  </si>
  <si>
    <t>Strength</t>
  </si>
  <si>
    <t>Technology</t>
  </si>
  <si>
    <t>Small Exercise Equipment</t>
  </si>
  <si>
    <t>Total</t>
  </si>
  <si>
    <t xml:space="preserve">Cardio </t>
  </si>
  <si>
    <t>GM Percent</t>
  </si>
  <si>
    <t>Avery</t>
  </si>
  <si>
    <t>Foster</t>
  </si>
  <si>
    <t>Barrow</t>
  </si>
  <si>
    <t>Hammond</t>
  </si>
  <si>
    <t>Ellis</t>
  </si>
  <si>
    <t>Gibbons</t>
  </si>
  <si>
    <t>Concetta</t>
  </si>
  <si>
    <t>U.S. 2011 Sales</t>
  </si>
  <si>
    <t>U.S. 2011 Gross Margin</t>
  </si>
  <si>
    <t>U.S. 2102 Forecasted Sales</t>
  </si>
  <si>
    <t>U.S. 1st Half 2012 Forecasted Sales</t>
  </si>
  <si>
    <t>U.S.1st Half 2012 Actual Sales</t>
  </si>
  <si>
    <t>State</t>
  </si>
  <si>
    <t>Buying Power</t>
  </si>
  <si>
    <t>MA</t>
  </si>
  <si>
    <t>ME</t>
  </si>
  <si>
    <t>NH</t>
  </si>
  <si>
    <t>CT</t>
  </si>
  <si>
    <t>US</t>
  </si>
  <si>
    <t>Region</t>
  </si>
  <si>
    <t>District</t>
  </si>
  <si>
    <t>Salesperson</t>
  </si>
  <si>
    <t>% of District</t>
  </si>
  <si>
    <t>2011 Calls per year</t>
  </si>
  <si>
    <t>TOTAL</t>
  </si>
  <si>
    <t>2012 District H1 Sales</t>
  </si>
  <si>
    <t>2011 Active Accounts*</t>
  </si>
  <si>
    <t>* Active accounts placed orders within the past year</t>
  </si>
  <si>
    <t xml:space="preserve">Salary </t>
  </si>
  <si>
    <t>Commissions</t>
  </si>
  <si>
    <t>Total Compensation</t>
  </si>
  <si>
    <t>Expenses</t>
  </si>
  <si>
    <t>Total Compensation and Expenses</t>
  </si>
  <si>
    <t>Area Covered</t>
  </si>
  <si>
    <t>Entire state</t>
  </si>
  <si>
    <t>MA/RI</t>
  </si>
  <si>
    <t>MA/VT</t>
  </si>
  <si>
    <t># of Potential Accts</t>
  </si>
  <si>
    <t>Land Area</t>
  </si>
  <si>
    <t>Boston suburbs: Northern/Western/Southwestern</t>
  </si>
  <si>
    <t>City of Boston &amp; South Shore</t>
  </si>
  <si>
    <t>Western Part MA, Entire State of VT</t>
  </si>
  <si>
    <t>Eastern MA/Rhode Island</t>
  </si>
  <si>
    <t>Estimated Regional Population (000)</t>
  </si>
  <si>
    <t xml:space="preserve">Total </t>
  </si>
  <si>
    <t>Average per sales person</t>
  </si>
  <si>
    <t>New England District 2011 Sales</t>
  </si>
  <si>
    <t>Exhibit 3:  2011 Commercial Sales by Individual  - New England District</t>
  </si>
  <si>
    <t>Exhibit 4:  Individual Sales Performance - New England District, 2011</t>
  </si>
  <si>
    <t>Exhibit 5 - Individual Compensation and Expenses, New England District, 2011</t>
  </si>
  <si>
    <t>Description of Assigned Territories - New England District</t>
  </si>
  <si>
    <t>Commercial Buying Power Index</t>
  </si>
  <si>
    <t>StepSmart U.S. Commercial Sales History</t>
  </si>
  <si>
    <t>Territory</t>
  </si>
  <si>
    <t>Actual % of 2011 Sales</t>
  </si>
  <si>
    <t xml:space="preserve">Ellis </t>
  </si>
  <si>
    <t xml:space="preserve">Barrow </t>
  </si>
  <si>
    <t>Boston suburbs</t>
  </si>
  <si>
    <t>City of Boston</t>
  </si>
  <si>
    <t>VT and Western MA</t>
  </si>
  <si>
    <t>Eastern MA and RI</t>
  </si>
  <si>
    <t>Exhibit 1:  US Commercial Product Line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</si>
</sst>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0"/>
    <numFmt numFmtId="167" formatCode="0.000000"/>
    <numFmt numFmtId="168" formatCode="_(&quot;$&quot;* #,##0.000_);_(&quot;$&quot;* \(#,##0.000\);_(&quot;$&quot;* &quot;-&quot;??_);_(@_)"/>
    <numFmt numFmtId="169" formatCode="_(&quot;$&quot;* #,##0_);_(&quot;$&quot;* \(#,##0\);_(&quot;$&quot;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44" fontId="0" fillId="0" borderId="0" xfId="2" applyFont="1"/>
    <xf numFmtId="164" fontId="0" fillId="0" borderId="0" xfId="2" applyNumberFormat="1" applyFont="1"/>
    <xf numFmtId="0" fontId="0" fillId="0" borderId="0" xfId="0" applyFont="1"/>
    <xf numFmtId="44" fontId="0" fillId="0" borderId="0" xfId="0" applyNumberFormat="1"/>
    <xf numFmtId="164" fontId="0" fillId="0" borderId="0" xfId="0" applyNumberFormat="1"/>
    <xf numFmtId="9" fontId="0" fillId="0" borderId="0" xfId="3" applyFont="1"/>
    <xf numFmtId="164" fontId="0" fillId="0" borderId="0" xfId="2" applyNumberFormat="1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/>
    <xf numFmtId="44" fontId="0" fillId="0" borderId="0" xfId="2" applyFont="1" applyAlignment="1">
      <alignment horizontal="left" indent="2"/>
    </xf>
    <xf numFmtId="165" fontId="0" fillId="0" borderId="0" xfId="1" applyNumberFormat="1" applyFont="1"/>
    <xf numFmtId="164" fontId="0" fillId="0" borderId="1" xfId="2" applyNumberFormat="1" applyFont="1" applyBorder="1"/>
    <xf numFmtId="0" fontId="0" fillId="0" borderId="1" xfId="0" applyBorder="1"/>
    <xf numFmtId="164" fontId="0" fillId="0" borderId="1" xfId="0" applyNumberFormat="1" applyBorder="1"/>
    <xf numFmtId="9" fontId="0" fillId="0" borderId="1" xfId="3" applyFont="1" applyBorder="1"/>
    <xf numFmtId="165" fontId="0" fillId="0" borderId="1" xfId="0" applyNumberFormat="1" applyBorder="1"/>
    <xf numFmtId="166" fontId="0" fillId="0" borderId="0" xfId="0" applyNumberFormat="1"/>
    <xf numFmtId="167" fontId="0" fillId="0" borderId="0" xfId="0" applyNumberFormat="1"/>
    <xf numFmtId="0" fontId="2" fillId="0" borderId="0" xfId="0" applyFont="1"/>
    <xf numFmtId="3" fontId="0" fillId="0" borderId="0" xfId="0" applyNumberFormat="1" applyAlignment="1">
      <alignment wrapText="1"/>
    </xf>
    <xf numFmtId="3" fontId="0" fillId="0" borderId="0" xfId="0" applyNumberFormat="1"/>
    <xf numFmtId="43" fontId="0" fillId="0" borderId="1" xfId="1" applyNumberFormat="1" applyFont="1" applyBorder="1"/>
    <xf numFmtId="165" fontId="0" fillId="0" borderId="1" xfId="1" applyNumberFormat="1" applyFont="1" applyBorder="1"/>
    <xf numFmtId="10" fontId="0" fillId="0" borderId="0" xfId="3" applyNumberFormat="1" applyFont="1"/>
    <xf numFmtId="10" fontId="0" fillId="0" borderId="1" xfId="3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 applyFill="1"/>
    <xf numFmtId="0" fontId="0" fillId="0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wrapText="1"/>
    </xf>
    <xf numFmtId="168" fontId="0" fillId="0" borderId="0" xfId="0" applyNumberFormat="1" applyFill="1" applyBorder="1"/>
    <xf numFmtId="164" fontId="0" fillId="0" borderId="4" xfId="2" applyNumberFormat="1" applyFont="1" applyBorder="1"/>
    <xf numFmtId="0" fontId="4" fillId="0" borderId="3" xfId="0" applyFont="1" applyBorder="1" applyAlignment="1">
      <alignment horizontal="center"/>
    </xf>
    <xf numFmtId="3" fontId="0" fillId="0" borderId="1" xfId="0" applyNumberFormat="1" applyBorder="1"/>
    <xf numFmtId="169" fontId="0" fillId="0" borderId="0" xfId="0" applyNumberFormat="1"/>
    <xf numFmtId="169" fontId="0" fillId="0" borderId="1" xfId="2" applyNumberFormat="1" applyFont="1" applyBorder="1"/>
    <xf numFmtId="164" fontId="0" fillId="0" borderId="1" xfId="2" applyNumberFormat="1" applyFont="1" applyBorder="1" applyAlignment="1">
      <alignment horizontal="left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9" fontId="3" fillId="0" borderId="0" xfId="3" applyFont="1" applyAlignment="1">
      <alignment horizontal="center" wrapText="1"/>
    </xf>
    <xf numFmtId="164" fontId="0" fillId="0" borderId="5" xfId="2" applyNumberFormat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65" fontId="0" fillId="0" borderId="1" xfId="1" applyNumberFormat="1" applyFont="1" applyBorder="1" applyAlignment="1">
      <alignment horizontal="left" indent="1"/>
    </xf>
    <xf numFmtId="2" fontId="0" fillId="0" borderId="0" xfId="0" applyNumberFormat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E7E20D3-9788-43FC-BAFD-F933FFB2D5FD}" diskRevisions="1" revisionId="4">
  <header guid="{8E7E20D3-9788-43FC-BAFD-F933FFB2D5FD}" dateTime="2019-12-09T16:29:10" maxSheetId="9" userName="apetrosy" r:id="rId6">
    <sheetIdMap count="8">
      <sheetId val="1"/>
      <sheetId val="2"/>
      <sheetId val="3"/>
      <sheetId val="4"/>
      <sheetId val="5"/>
      <sheetId val="6"/>
      <sheetId val="7"/>
      <sheetId val="8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E77C585-9C41-42EA-85E3-7AAA1E1E0A18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3"/>
  <sheetViews>
    <sheetView tabSelected="1" workbookViewId="0">
      <pane xSplit="1" topLeftCell="B1" activePane="topRight" state="frozen"/>
      <selection pane="topRight"/>
    </sheetView>
  </sheetViews>
  <sheetFormatPr defaultRowHeight="14.25" x14ac:dyDescent="0.45"/>
  <cols>
    <col min="1" max="1" width="14.1328125" customWidth="1"/>
    <col min="2" max="2" width="14.86328125" customWidth="1"/>
    <col min="3" max="3" width="7.86328125" bestFit="1" customWidth="1"/>
    <col min="4" max="4" width="12.59765625" bestFit="1" customWidth="1"/>
    <col min="5" max="5" width="13.73046875" bestFit="1" customWidth="1"/>
    <col min="6" max="8" width="12.59765625" bestFit="1" customWidth="1"/>
    <col min="9" max="10" width="14.265625" bestFit="1" customWidth="1"/>
  </cols>
  <sheetData>
    <row r="3" spans="1:10" ht="22.5" customHeight="1" x14ac:dyDescent="0.45">
      <c r="A3" s="22" t="s">
        <v>70</v>
      </c>
      <c r="B3" s="22"/>
    </row>
    <row r="4" spans="1:10" s="1" customFormat="1" ht="73.5" customHeight="1" x14ac:dyDescent="0.45">
      <c r="A4" s="29" t="s">
        <v>0</v>
      </c>
      <c r="B4" s="29" t="s">
        <v>16</v>
      </c>
      <c r="C4" s="29" t="s">
        <v>8</v>
      </c>
      <c r="D4" s="29" t="s">
        <v>17</v>
      </c>
      <c r="E4" s="29" t="s">
        <v>18</v>
      </c>
      <c r="F4" s="29" t="s">
        <v>19</v>
      </c>
      <c r="G4" s="29" t="s">
        <v>20</v>
      </c>
      <c r="H4" s="29" t="s">
        <v>55</v>
      </c>
    </row>
    <row r="6" spans="1:10" x14ac:dyDescent="0.45">
      <c r="A6" s="2" t="s">
        <v>2</v>
      </c>
    </row>
    <row r="7" spans="1:10" x14ac:dyDescent="0.45">
      <c r="A7" s="5" t="s">
        <v>7</v>
      </c>
      <c r="B7" s="39">
        <f>B11*0.46</f>
        <v>84870000</v>
      </c>
      <c r="C7" s="8">
        <v>0.41</v>
      </c>
      <c r="D7" s="7">
        <f>B7*C7</f>
        <v>34796700</v>
      </c>
      <c r="E7" s="7">
        <f>B7*1.14</f>
        <v>96751799.999999985</v>
      </c>
      <c r="F7" s="9">
        <f>E7*0.45</f>
        <v>43538309.999999993</v>
      </c>
      <c r="G7" s="4">
        <v>43449600</v>
      </c>
      <c r="H7" s="4">
        <f>'Exhibit 3'!I5</f>
        <v>3009051.09</v>
      </c>
    </row>
    <row r="8" spans="1:10" x14ac:dyDescent="0.45">
      <c r="A8" t="s">
        <v>3</v>
      </c>
      <c r="B8" s="39">
        <f>B11*0.25</f>
        <v>46125000</v>
      </c>
      <c r="C8" s="8">
        <v>0.31</v>
      </c>
      <c r="D8" s="7">
        <f>B8*C8</f>
        <v>14298750</v>
      </c>
      <c r="E8" s="7">
        <f>B8*1.1</f>
        <v>50737500.000000007</v>
      </c>
      <c r="F8" s="9">
        <f>E8*0.48</f>
        <v>24354000.000000004</v>
      </c>
      <c r="G8" s="4">
        <v>22450000</v>
      </c>
      <c r="H8" s="4">
        <f>'Exhibit 3'!I6</f>
        <v>2581354.2600000002</v>
      </c>
    </row>
    <row r="9" spans="1:10" x14ac:dyDescent="0.45">
      <c r="A9" t="s">
        <v>4</v>
      </c>
      <c r="B9" s="39">
        <f>B11*0.19</f>
        <v>35055000</v>
      </c>
      <c r="C9" s="8">
        <v>0.38</v>
      </c>
      <c r="D9" s="7">
        <f>B9*C9</f>
        <v>13320900</v>
      </c>
      <c r="E9" s="7">
        <f>B9*1.15</f>
        <v>40313250</v>
      </c>
      <c r="F9" s="9">
        <f>E9*0.5</f>
        <v>20156625</v>
      </c>
      <c r="G9" s="4">
        <v>21984300</v>
      </c>
      <c r="H9" s="4">
        <f>'Exhibit 3'!I7</f>
        <v>2211505.56</v>
      </c>
    </row>
    <row r="10" spans="1:10" ht="36" customHeight="1" x14ac:dyDescent="0.45">
      <c r="A10" s="1" t="s">
        <v>5</v>
      </c>
      <c r="B10" s="39">
        <f>B11*0.1</f>
        <v>18450000</v>
      </c>
      <c r="C10" s="8">
        <v>0.32</v>
      </c>
      <c r="D10" s="7">
        <f>B10*C10</f>
        <v>5904000</v>
      </c>
      <c r="E10" s="7">
        <f>B10*1.06</f>
        <v>19557000</v>
      </c>
      <c r="F10" s="9">
        <f>E10*0.4</f>
        <v>7822800</v>
      </c>
      <c r="G10" s="4">
        <f>G11-(SUM(G7:G9))</f>
        <v>9905269</v>
      </c>
      <c r="H10" s="4">
        <f>'Exhibit 3'!I8</f>
        <v>1681389.0900000003</v>
      </c>
    </row>
    <row r="11" spans="1:10" ht="14.65" thickBot="1" x14ac:dyDescent="0.5">
      <c r="A11" s="16" t="s">
        <v>6</v>
      </c>
      <c r="B11" s="40">
        <v>184500000</v>
      </c>
      <c r="C11" s="18">
        <f>D11/B11</f>
        <v>0.37030000000000002</v>
      </c>
      <c r="D11" s="17">
        <f>SUM(D7:D10)</f>
        <v>68320350</v>
      </c>
      <c r="E11" s="17">
        <f>SUM(E7:E10)</f>
        <v>207359550</v>
      </c>
      <c r="F11" s="41">
        <f>SUM(F7:F10)</f>
        <v>95871735</v>
      </c>
      <c r="G11" s="15">
        <v>97789169</v>
      </c>
      <c r="H11" s="15">
        <f>'Exhibit 3'!I9</f>
        <v>9483300</v>
      </c>
      <c r="I11" s="3"/>
    </row>
    <row r="12" spans="1:10" ht="14.65" thickTop="1" x14ac:dyDescent="0.45">
      <c r="G12" s="7"/>
      <c r="I12" s="3"/>
    </row>
    <row r="13" spans="1:10" x14ac:dyDescent="0.45">
      <c r="I13" s="3"/>
      <c r="J13" s="6"/>
    </row>
  </sheetData>
  <customSheetViews>
    <customSheetView guid="{9E77C585-9C41-42EA-85E3-7AAA1E1E0A18}">
      <pane xSplit="1" topLeftCell="B1" activePane="topRight" state="frozen"/>
      <selection pane="topRight"/>
      <pageMargins left="0.7" right="0.7" top="0.75" bottom="0.75" header="0.3" footer="0.3"/>
      <pageSetup orientation="landscape" horizontalDpi="4294967294" verticalDpi="4294967294" r:id="rId1"/>
    </customSheetView>
    <customSheetView guid="{936D58C3-40C6-49C3-8AEB-F72AB34820B1}">
      <pane xSplit="1" topLeftCell="B1" activePane="topRight" state="frozen"/>
      <selection pane="topRight"/>
      <pageMargins left="0.7" right="0.7" top="0.75" bottom="0.75" header="0.3" footer="0.3"/>
      <pageSetup orientation="landscape" horizontalDpi="4294967294" verticalDpi="4294967294" r:id="rId2"/>
    </customSheetView>
    <customSheetView guid="{43597BCB-7C18-4130-B479-76F8E131D73A}">
      <pane xSplit="1" topLeftCell="B1" activePane="topRight" state="frozen"/>
      <selection pane="topRight"/>
      <pageMargins left="0.7" right="0.7" top="0.75" bottom="0.75" header="0.3" footer="0.3"/>
      <pageSetup orientation="landscape" horizontalDpi="4294967294" verticalDpi="4294967294" r:id="rId3"/>
    </customSheetView>
  </customSheetViews>
  <pageMargins left="0.7" right="0.7" top="0.75" bottom="0.75" header="0.3" footer="0.3"/>
  <pageSetup orientation="landscape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opLeftCell="A2" workbookViewId="0">
      <selection activeCell="D12" sqref="D12"/>
    </sheetView>
  </sheetViews>
  <sheetFormatPr defaultRowHeight="14.25" x14ac:dyDescent="0.45"/>
  <cols>
    <col min="1" max="1" width="13.73046875" customWidth="1"/>
    <col min="2" max="6" width="11.59765625" bestFit="1" customWidth="1"/>
    <col min="7" max="8" width="10" bestFit="1" customWidth="1"/>
    <col min="9" max="9" width="11.59765625" bestFit="1" customWidth="1"/>
  </cols>
  <sheetData>
    <row r="2" spans="1:10" x14ac:dyDescent="0.45">
      <c r="A2" s="22" t="s">
        <v>56</v>
      </c>
    </row>
    <row r="3" spans="1:10" s="10" customFormat="1" x14ac:dyDescent="0.45"/>
    <row r="4" spans="1:10" x14ac:dyDescent="0.45">
      <c r="A4" s="32" t="s">
        <v>2</v>
      </c>
      <c r="B4" s="33" t="s">
        <v>13</v>
      </c>
      <c r="C4" s="33" t="s">
        <v>11</v>
      </c>
      <c r="D4" s="33" t="s">
        <v>12</v>
      </c>
      <c r="E4" s="33" t="s">
        <v>10</v>
      </c>
      <c r="F4" s="33" t="s">
        <v>14</v>
      </c>
      <c r="G4" s="33" t="s">
        <v>15</v>
      </c>
      <c r="H4" s="33" t="s">
        <v>9</v>
      </c>
      <c r="I4" s="37" t="s">
        <v>6</v>
      </c>
    </row>
    <row r="5" spans="1:10" x14ac:dyDescent="0.45">
      <c r="A5" s="31" t="s">
        <v>7</v>
      </c>
      <c r="B5" s="7">
        <f>B9*0.36</f>
        <v>716937.48</v>
      </c>
      <c r="C5" s="4">
        <f>C9*0.24</f>
        <v>409678.56</v>
      </c>
      <c r="D5" s="4">
        <f>D9*0.35</f>
        <v>531064.79999999993</v>
      </c>
      <c r="E5" s="4">
        <f>E9*0.33</f>
        <v>469423.35000000003</v>
      </c>
      <c r="F5" s="4">
        <f>F9*0.3</f>
        <v>398298.60000000003</v>
      </c>
      <c r="G5" s="4">
        <f>G9*0.38</f>
        <v>324328.86</v>
      </c>
      <c r="H5" s="4">
        <f>H9*0.24</f>
        <v>159319.44000000003</v>
      </c>
      <c r="I5" s="36">
        <f>SUM(B5:H5)</f>
        <v>3009051.09</v>
      </c>
    </row>
    <row r="6" spans="1:10" x14ac:dyDescent="0.45">
      <c r="A6" t="s">
        <v>3</v>
      </c>
      <c r="B6" s="4">
        <f>B9*0.21</f>
        <v>418213.52999999997</v>
      </c>
      <c r="C6" s="4">
        <f>C9*0.34</f>
        <v>580377.96000000008</v>
      </c>
      <c r="D6" s="4">
        <f>D9*0.25</f>
        <v>379332</v>
      </c>
      <c r="E6" s="4">
        <f>E9*0.29</f>
        <v>412523.55</v>
      </c>
      <c r="F6" s="4">
        <f>F9*0.31</f>
        <v>411575.22000000009</v>
      </c>
      <c r="G6" s="4">
        <f>G9*0.25</f>
        <v>213374.25</v>
      </c>
      <c r="H6" s="4">
        <f>H9*0.25</f>
        <v>165957.75000000003</v>
      </c>
      <c r="I6" s="36">
        <f>SUM(B6:H6)</f>
        <v>2581354.2600000002</v>
      </c>
    </row>
    <row r="7" spans="1:10" x14ac:dyDescent="0.45">
      <c r="A7" s="30" t="s">
        <v>4</v>
      </c>
      <c r="B7" s="4">
        <f>B9*0.31</f>
        <v>617362.82999999996</v>
      </c>
      <c r="C7" s="4">
        <f>C9*0.12</f>
        <v>204839.28</v>
      </c>
      <c r="D7" s="4">
        <f>D9*0.23</f>
        <v>348985.44</v>
      </c>
      <c r="E7" s="4">
        <f>E9*0.28</f>
        <v>398298.60000000003</v>
      </c>
      <c r="F7" s="4">
        <f>F9*0.24</f>
        <v>318638.88000000006</v>
      </c>
      <c r="G7" s="4">
        <f>G9*0.2</f>
        <v>170699.40000000002</v>
      </c>
      <c r="H7" s="4">
        <f>H9*0.23</f>
        <v>152681.13000000003</v>
      </c>
      <c r="I7" s="36">
        <f>SUM(B7:H7)</f>
        <v>2211505.56</v>
      </c>
    </row>
    <row r="8" spans="1:10" ht="30.75" customHeight="1" x14ac:dyDescent="0.45">
      <c r="A8" s="1" t="s">
        <v>5</v>
      </c>
      <c r="B8" s="4">
        <f>B9*0.12</f>
        <v>238979.16</v>
      </c>
      <c r="C8" s="4">
        <f>C9*0.3</f>
        <v>512098.19999999995</v>
      </c>
      <c r="D8" s="4">
        <f>D9*0.17</f>
        <v>257945.76</v>
      </c>
      <c r="E8" s="4">
        <f>E9*0.1</f>
        <v>142249.5</v>
      </c>
      <c r="F8" s="4">
        <f>F9*0.15</f>
        <v>199149.30000000002</v>
      </c>
      <c r="G8" s="4">
        <f>G9*0.17</f>
        <v>145094.49000000002</v>
      </c>
      <c r="H8" s="4">
        <f>H9*0.28</f>
        <v>185872.68000000005</v>
      </c>
      <c r="I8" s="36">
        <f>SUM(B8:H8)</f>
        <v>1681389.0900000003</v>
      </c>
    </row>
    <row r="9" spans="1:10" ht="14.65" thickBot="1" x14ac:dyDescent="0.5">
      <c r="A9" s="16" t="s">
        <v>6</v>
      </c>
      <c r="B9" s="15">
        <f>I9*0.21</f>
        <v>1991493</v>
      </c>
      <c r="C9" s="15">
        <f>I9*0.18</f>
        <v>1706994</v>
      </c>
      <c r="D9" s="15">
        <f>I9*0.16</f>
        <v>1517328</v>
      </c>
      <c r="E9" s="15">
        <f>I9*0.15</f>
        <v>1422495</v>
      </c>
      <c r="F9" s="15">
        <f>I9*0.14</f>
        <v>1327662.0000000002</v>
      </c>
      <c r="G9" s="15">
        <f>I9*0.09</f>
        <v>853497</v>
      </c>
      <c r="H9" s="15">
        <f>I9*0.07</f>
        <v>663831.00000000012</v>
      </c>
      <c r="I9" s="45">
        <v>9483300</v>
      </c>
      <c r="J9" s="12"/>
    </row>
    <row r="10" spans="1:10" ht="14.65" thickTop="1" x14ac:dyDescent="0.45"/>
    <row r="18" spans="1:1" x14ac:dyDescent="0.45">
      <c r="A18" s="4"/>
    </row>
  </sheetData>
  <customSheetViews>
    <customSheetView guid="{9E77C585-9C41-42EA-85E3-7AAA1E1E0A18}" topLeftCell="A2">
      <selection activeCell="D12" sqref="D12"/>
      <pageMargins left="0.7" right="0.7" top="0.75" bottom="0.75" header="0.3" footer="0.3"/>
      <pageSetup orientation="landscape" horizontalDpi="4294967294" verticalDpi="4294967294" r:id="rId1"/>
    </customSheetView>
    <customSheetView guid="{936D58C3-40C6-49C3-8AEB-F72AB34820B1}" topLeftCell="A2">
      <selection activeCell="D12" sqref="D12"/>
      <pageMargins left="0.7" right="0.7" top="0.75" bottom="0.75" header="0.3" footer="0.3"/>
      <pageSetup orientation="landscape" horizontalDpi="4294967294" verticalDpi="4294967294" r:id="rId2"/>
    </customSheetView>
    <customSheetView guid="{43597BCB-7C18-4130-B479-76F8E131D73A}" topLeftCell="A2">
      <selection activeCell="A2" sqref="A2"/>
      <pageMargins left="0.7" right="0.7" top="0.75" bottom="0.75" header="0.3" footer="0.3"/>
      <pageSetup orientation="landscape" horizontalDpi="4294967294" verticalDpi="4294967294" r:id="rId3"/>
    </customSheetView>
  </customSheetViews>
  <pageMargins left="0.7" right="0.7" top="0.75" bottom="0.75" header="0.3" footer="0.3"/>
  <pageSetup orientation="landscape" horizontalDpi="4294967294" verticalDpi="4294967294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/>
  </sheetViews>
  <sheetFormatPr defaultRowHeight="14.25" x14ac:dyDescent="0.45"/>
  <cols>
    <col min="1" max="1" width="13" customWidth="1"/>
    <col min="2" max="2" width="14.265625" bestFit="1" customWidth="1"/>
    <col min="3" max="3" width="7" style="8" customWidth="1"/>
    <col min="4" max="4" width="14.59765625" bestFit="1" customWidth="1"/>
    <col min="5" max="5" width="7.265625" customWidth="1"/>
    <col min="6" max="6" width="10" bestFit="1" customWidth="1"/>
    <col min="7" max="7" width="9.59765625" bestFit="1" customWidth="1"/>
  </cols>
  <sheetData>
    <row r="1" spans="1:8" x14ac:dyDescent="0.45">
      <c r="A1" s="22" t="s">
        <v>57</v>
      </c>
    </row>
    <row r="2" spans="1:8" ht="48" customHeight="1" x14ac:dyDescent="0.45">
      <c r="A2" s="34" t="s">
        <v>30</v>
      </c>
      <c r="B2" s="43" t="s">
        <v>1</v>
      </c>
      <c r="C2" s="44" t="s">
        <v>31</v>
      </c>
      <c r="D2" s="43" t="s">
        <v>34</v>
      </c>
      <c r="E2" s="43" t="s">
        <v>31</v>
      </c>
      <c r="F2" s="43" t="s">
        <v>35</v>
      </c>
      <c r="G2" s="43" t="s">
        <v>32</v>
      </c>
      <c r="H2" s="42"/>
    </row>
    <row r="4" spans="1:8" x14ac:dyDescent="0.45">
      <c r="A4" t="s">
        <v>13</v>
      </c>
      <c r="B4" s="4">
        <f>'Exhibit 3'!B9</f>
        <v>1991493</v>
      </c>
      <c r="C4" s="8">
        <f>B4/$B$11</f>
        <v>0.21</v>
      </c>
      <c r="D4" s="7">
        <f>B4*0.45</f>
        <v>896171.85</v>
      </c>
      <c r="E4" s="8">
        <f>D4/$D$11</f>
        <v>0.20110661842945304</v>
      </c>
      <c r="F4">
        <v>215</v>
      </c>
      <c r="G4" s="14">
        <v>830</v>
      </c>
    </row>
    <row r="5" spans="1:8" x14ac:dyDescent="0.45">
      <c r="A5" t="s">
        <v>11</v>
      </c>
      <c r="B5" s="4">
        <f>'Exhibit 3'!C9</f>
        <v>1706994</v>
      </c>
      <c r="C5" s="8">
        <f t="shared" ref="C5:C10" si="0">B5/$B$11</f>
        <v>0.18</v>
      </c>
      <c r="D5" s="7">
        <f>B5*0.48</f>
        <v>819357.12</v>
      </c>
      <c r="E5" s="8">
        <f t="shared" ref="E5:E10" si="1">D5/$D$11</f>
        <v>0.18386890827835706</v>
      </c>
      <c r="F5">
        <v>275</v>
      </c>
      <c r="G5" s="14">
        <v>1370</v>
      </c>
    </row>
    <row r="6" spans="1:8" x14ac:dyDescent="0.45">
      <c r="A6" t="s">
        <v>12</v>
      </c>
      <c r="B6" s="4">
        <f>'Exhibit 3'!D9</f>
        <v>1517328</v>
      </c>
      <c r="C6" s="8">
        <f t="shared" si="0"/>
        <v>0.16</v>
      </c>
      <c r="D6" s="7">
        <f>B6*0.48</f>
        <v>728317.43999999994</v>
      </c>
      <c r="E6" s="8">
        <f t="shared" si="1"/>
        <v>0.16343902958076181</v>
      </c>
      <c r="F6">
        <v>230</v>
      </c>
      <c r="G6" s="14">
        <v>1400</v>
      </c>
    </row>
    <row r="7" spans="1:8" x14ac:dyDescent="0.45">
      <c r="A7" t="s">
        <v>10</v>
      </c>
      <c r="B7" s="4">
        <f>'Exhibit 3'!E9</f>
        <v>1422495</v>
      </c>
      <c r="C7" s="8">
        <f t="shared" si="0"/>
        <v>0.15</v>
      </c>
      <c r="D7" s="7">
        <f>B7*0.4</f>
        <v>568998</v>
      </c>
      <c r="E7" s="8">
        <f t="shared" si="1"/>
        <v>0.12768674185997017</v>
      </c>
      <c r="F7">
        <v>230</v>
      </c>
      <c r="G7" s="14">
        <v>902</v>
      </c>
    </row>
    <row r="8" spans="1:8" x14ac:dyDescent="0.45">
      <c r="A8" t="s">
        <v>14</v>
      </c>
      <c r="B8" s="4">
        <f>'Exhibit 3'!F9</f>
        <v>1327662.0000000002</v>
      </c>
      <c r="C8" s="8">
        <f t="shared" si="0"/>
        <v>0.14000000000000001</v>
      </c>
      <c r="D8" s="7">
        <f>B8*0.45</f>
        <v>597447.90000000014</v>
      </c>
      <c r="E8" s="8">
        <f t="shared" si="1"/>
        <v>0.13407107895296871</v>
      </c>
      <c r="F8">
        <v>140</v>
      </c>
      <c r="G8" s="14">
        <v>955</v>
      </c>
    </row>
    <row r="9" spans="1:8" x14ac:dyDescent="0.45">
      <c r="A9" t="s">
        <v>15</v>
      </c>
      <c r="B9" s="4">
        <f>'Exhibit 3'!G9</f>
        <v>853497</v>
      </c>
      <c r="C9" s="8">
        <f t="shared" si="0"/>
        <v>0.09</v>
      </c>
      <c r="D9" s="7">
        <f>B9*0.54</f>
        <v>460888.38</v>
      </c>
      <c r="E9" s="8">
        <f t="shared" si="1"/>
        <v>0.10342626090657585</v>
      </c>
      <c r="F9">
        <v>210</v>
      </c>
      <c r="G9" s="14">
        <v>820</v>
      </c>
    </row>
    <row r="10" spans="1:8" x14ac:dyDescent="0.45">
      <c r="A10" t="s">
        <v>9</v>
      </c>
      <c r="B10" s="4">
        <f>'Exhibit 3'!H9</f>
        <v>663831.00000000012</v>
      </c>
      <c r="C10" s="8">
        <f t="shared" si="0"/>
        <v>7.0000000000000007E-2</v>
      </c>
      <c r="D10" s="7">
        <f>B10*0.58</f>
        <v>385021.98000000004</v>
      </c>
      <c r="E10" s="8">
        <f t="shared" si="1"/>
        <v>8.6401361991913159E-2</v>
      </c>
      <c r="F10">
        <v>304</v>
      </c>
      <c r="G10" s="14">
        <v>1158</v>
      </c>
    </row>
    <row r="11" spans="1:8" ht="14.65" thickBot="1" x14ac:dyDescent="0.5">
      <c r="A11" s="16" t="s">
        <v>33</v>
      </c>
      <c r="B11" s="15">
        <f>SUM(B4:B10)</f>
        <v>9483300</v>
      </c>
      <c r="C11" s="26"/>
      <c r="D11" s="15">
        <f>SUM(D4:D10)</f>
        <v>4456202.6700000009</v>
      </c>
      <c r="E11" s="26"/>
      <c r="F11" s="26">
        <f>SUM(F4:F10)</f>
        <v>1604</v>
      </c>
      <c r="G11" s="26">
        <f>SUM(G4:G10)</f>
        <v>7435</v>
      </c>
    </row>
    <row r="12" spans="1:8" ht="14.65" thickTop="1" x14ac:dyDescent="0.45">
      <c r="A12" t="s">
        <v>36</v>
      </c>
    </row>
    <row r="13" spans="1:8" x14ac:dyDescent="0.45">
      <c r="D13" s="13"/>
      <c r="E13" s="6"/>
    </row>
  </sheetData>
  <customSheetViews>
    <customSheetView guid="{9E77C585-9C41-42EA-85E3-7AAA1E1E0A18}">
      <pageMargins left="0.7" right="0.7" top="0.75" bottom="0.75" header="0.3" footer="0.3"/>
      <pageSetup orientation="landscape" horizontalDpi="4294967294" verticalDpi="4294967294" r:id="rId1"/>
    </customSheetView>
    <customSheetView guid="{936D58C3-40C6-49C3-8AEB-F72AB34820B1}">
      <pageMargins left="0.7" right="0.7" top="0.75" bottom="0.75" header="0.3" footer="0.3"/>
      <pageSetup orientation="landscape" horizontalDpi="4294967294" verticalDpi="4294967294" r:id="rId2"/>
    </customSheetView>
    <customSheetView guid="{43597BCB-7C18-4130-B479-76F8E131D73A}">
      <pageMargins left="0.7" right="0.7" top="0.75" bottom="0.75" header="0.3" footer="0.3"/>
      <pageSetup orientation="landscape" horizontalDpi="4294967294" verticalDpi="4294967294" r:id="rId3"/>
    </customSheetView>
  </customSheetViews>
  <pageMargins left="0.7" right="0.7" top="0.75" bottom="0.75" header="0.3" footer="0.3"/>
  <pageSetup orientation="landscape" horizontalDpi="4294967294" verticalDpi="4294967294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"/>
  <sheetViews>
    <sheetView workbookViewId="0">
      <selection activeCell="E8" sqref="E8"/>
    </sheetView>
  </sheetViews>
  <sheetFormatPr defaultRowHeight="14.25" x14ac:dyDescent="0.45"/>
  <cols>
    <col min="1" max="1" width="15" customWidth="1"/>
    <col min="2" max="2" width="10" bestFit="1" customWidth="1"/>
    <col min="3" max="3" width="12.73046875" bestFit="1" customWidth="1"/>
    <col min="4" max="4" width="14" bestFit="1" customWidth="1"/>
    <col min="5" max="5" width="10" bestFit="1" customWidth="1"/>
    <col min="6" max="6" width="14.265625" customWidth="1"/>
  </cols>
  <sheetData>
    <row r="2" spans="1:9" x14ac:dyDescent="0.45">
      <c r="A2" s="22" t="s">
        <v>58</v>
      </c>
    </row>
    <row r="3" spans="1:9" ht="60" customHeight="1" x14ac:dyDescent="0.45">
      <c r="A3" s="34" t="s">
        <v>30</v>
      </c>
      <c r="B3" s="43" t="s">
        <v>37</v>
      </c>
      <c r="C3" s="43" t="s">
        <v>38</v>
      </c>
      <c r="D3" s="43" t="s">
        <v>39</v>
      </c>
      <c r="E3" s="43" t="s">
        <v>40</v>
      </c>
      <c r="F3" s="43" t="s">
        <v>41</v>
      </c>
      <c r="G3" s="1"/>
      <c r="H3" s="1"/>
    </row>
    <row r="5" spans="1:9" x14ac:dyDescent="0.45">
      <c r="A5" t="s">
        <v>13</v>
      </c>
      <c r="B5" s="4">
        <f>D5*0.55</f>
        <v>93753.000000000015</v>
      </c>
      <c r="C5" s="4">
        <f>D5*0.45</f>
        <v>76707</v>
      </c>
      <c r="D5" s="4">
        <v>170460</v>
      </c>
      <c r="E5" s="4">
        <v>14800</v>
      </c>
      <c r="F5" s="7">
        <f>SUM(D5:E5)</f>
        <v>185260</v>
      </c>
      <c r="I5" s="20"/>
    </row>
    <row r="6" spans="1:9" x14ac:dyDescent="0.45">
      <c r="A6" t="s">
        <v>11</v>
      </c>
      <c r="B6" s="4">
        <f>D6*0.51</f>
        <v>57630</v>
      </c>
      <c r="C6" s="4">
        <f>D6*0.49</f>
        <v>55370</v>
      </c>
      <c r="D6" s="4">
        <v>113000</v>
      </c>
      <c r="E6" s="4">
        <v>23900</v>
      </c>
      <c r="F6" s="7">
        <f>SUM(D6:E6)</f>
        <v>136900</v>
      </c>
    </row>
    <row r="7" spans="1:9" x14ac:dyDescent="0.45">
      <c r="A7" t="s">
        <v>12</v>
      </c>
      <c r="B7" s="4">
        <f>D7*0.52</f>
        <v>54808</v>
      </c>
      <c r="C7" s="4">
        <f>D7*0.48</f>
        <v>50592</v>
      </c>
      <c r="D7" s="4">
        <v>105400</v>
      </c>
      <c r="E7" s="4">
        <f>D7*0.17</f>
        <v>17918</v>
      </c>
      <c r="F7" s="7">
        <f>SUM(D7:E7)</f>
        <v>123318</v>
      </c>
    </row>
    <row r="8" spans="1:9" x14ac:dyDescent="0.45">
      <c r="A8" t="s">
        <v>10</v>
      </c>
      <c r="B8" s="4">
        <f>D8*0.51</f>
        <v>48807</v>
      </c>
      <c r="C8" s="4">
        <f>D8*0.49</f>
        <v>46893</v>
      </c>
      <c r="D8" s="4">
        <v>95700</v>
      </c>
      <c r="E8" s="4">
        <f>D8*0.29</f>
        <v>27752.999999999996</v>
      </c>
      <c r="F8" s="7">
        <f t="shared" ref="F8:F11" si="0">SUM(D8:E8)</f>
        <v>123453</v>
      </c>
    </row>
    <row r="9" spans="1:9" x14ac:dyDescent="0.45">
      <c r="A9" t="s">
        <v>14</v>
      </c>
      <c r="B9" s="4">
        <f>D9*0.6</f>
        <v>48600</v>
      </c>
      <c r="C9" s="4">
        <f>D9*0.4</f>
        <v>32400</v>
      </c>
      <c r="D9" s="4">
        <v>81000</v>
      </c>
      <c r="E9" s="4">
        <v>10500</v>
      </c>
      <c r="F9" s="7">
        <f t="shared" si="0"/>
        <v>91500</v>
      </c>
    </row>
    <row r="10" spans="1:9" x14ac:dyDescent="0.45">
      <c r="A10" t="s">
        <v>15</v>
      </c>
      <c r="B10" s="4">
        <f>D10*0.515</f>
        <v>32960</v>
      </c>
      <c r="C10" s="4">
        <f>D10*0.485</f>
        <v>31040</v>
      </c>
      <c r="D10" s="4">
        <v>64000</v>
      </c>
      <c r="E10" s="4">
        <v>31700</v>
      </c>
      <c r="F10" s="7">
        <f t="shared" si="0"/>
        <v>95700</v>
      </c>
      <c r="I10" s="21"/>
    </row>
    <row r="11" spans="1:9" x14ac:dyDescent="0.45">
      <c r="A11" t="s">
        <v>9</v>
      </c>
      <c r="B11" s="4">
        <f>D11*0.52</f>
        <v>30274.400000000001</v>
      </c>
      <c r="C11" s="4">
        <f>D11*0.48</f>
        <v>27945.599999999999</v>
      </c>
      <c r="D11" s="4">
        <v>58220</v>
      </c>
      <c r="E11" s="4">
        <v>29400</v>
      </c>
      <c r="F11" s="7">
        <f t="shared" si="0"/>
        <v>87620</v>
      </c>
    </row>
    <row r="12" spans="1:9" ht="14.65" thickBot="1" x14ac:dyDescent="0.5">
      <c r="A12" s="16" t="s">
        <v>6</v>
      </c>
      <c r="B12" s="15">
        <f>SUM(B5:B11)</f>
        <v>366832.4</v>
      </c>
      <c r="C12" s="15">
        <f>SUM(C5:C11)</f>
        <v>320947.59999999998</v>
      </c>
      <c r="D12" s="15">
        <f>SUM(D5:D11)</f>
        <v>687780</v>
      </c>
      <c r="E12" s="15">
        <f>SUM(E5:E11)</f>
        <v>155971</v>
      </c>
      <c r="F12" s="17">
        <f>SUM(F5:F11)</f>
        <v>843751</v>
      </c>
      <c r="H12" s="35"/>
    </row>
    <row r="13" spans="1:9" ht="14.65" thickTop="1" x14ac:dyDescent="0.45">
      <c r="B13" s="7"/>
    </row>
    <row r="14" spans="1:9" x14ac:dyDescent="0.45">
      <c r="E14" s="7"/>
    </row>
  </sheetData>
  <customSheetViews>
    <customSheetView guid="{9E77C585-9C41-42EA-85E3-7AAA1E1E0A18}">
      <selection activeCell="E8" sqref="E8"/>
      <pageMargins left="0.7" right="0.7" top="0.75" bottom="0.75" header="0.3" footer="0.3"/>
      <pageSetup orientation="landscape" horizontalDpi="4294967294" verticalDpi="4294967294" r:id="rId1"/>
    </customSheetView>
    <customSheetView guid="{936D58C3-40C6-49C3-8AEB-F72AB34820B1}">
      <selection activeCell="E8" sqref="E8"/>
      <pageMargins left="0.7" right="0.7" top="0.75" bottom="0.75" header="0.3" footer="0.3"/>
      <pageSetup orientation="landscape" horizontalDpi="4294967294" verticalDpi="4294967294" r:id="rId2"/>
    </customSheetView>
    <customSheetView guid="{43597BCB-7C18-4130-B479-76F8E131D73A}">
      <selection activeCell="A2" sqref="A2"/>
      <pageMargins left="0.7" right="0.7" top="0.75" bottom="0.75" header="0.3" footer="0.3"/>
      <pageSetup orientation="landscape" horizontalDpi="4294967294" verticalDpi="4294967294" r:id="rId3"/>
    </customSheetView>
  </customSheetViews>
  <pageMargins left="0.7" right="0.7" top="0.75" bottom="0.75" header="0.3" footer="0.3"/>
  <pageSetup orientation="landscape" horizontalDpi="4294967294" verticalDpi="4294967294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I22" sqref="I22"/>
    </sheetView>
  </sheetViews>
  <sheetFormatPr defaultRowHeight="14.25" x14ac:dyDescent="0.45"/>
  <cols>
    <col min="1" max="1" width="11.73046875" customWidth="1"/>
    <col min="2" max="2" width="7.1328125" bestFit="1" customWidth="1"/>
    <col min="3" max="3" width="32.73046875" customWidth="1"/>
    <col min="4" max="4" width="10.59765625" customWidth="1"/>
    <col min="5" max="5" width="12.1328125" customWidth="1"/>
    <col min="6" max="6" width="11" customWidth="1"/>
    <col min="7" max="7" width="9.73046875" customWidth="1"/>
  </cols>
  <sheetData>
    <row r="1" spans="1:7" x14ac:dyDescent="0.45">
      <c r="A1" s="22" t="s">
        <v>59</v>
      </c>
    </row>
    <row r="2" spans="1:7" ht="57" x14ac:dyDescent="0.45">
      <c r="A2" s="46" t="s">
        <v>30</v>
      </c>
      <c r="B2" s="46" t="s">
        <v>21</v>
      </c>
      <c r="C2" s="46" t="s">
        <v>42</v>
      </c>
      <c r="D2" s="47" t="s">
        <v>46</v>
      </c>
      <c r="E2" s="47" t="s">
        <v>60</v>
      </c>
      <c r="F2" s="47" t="s">
        <v>52</v>
      </c>
      <c r="G2" s="46" t="s">
        <v>47</v>
      </c>
    </row>
    <row r="3" spans="1:7" ht="28.5" x14ac:dyDescent="0.45">
      <c r="A3" t="s">
        <v>13</v>
      </c>
      <c r="B3" t="s">
        <v>23</v>
      </c>
      <c r="C3" s="1" t="s">
        <v>48</v>
      </c>
      <c r="D3" s="1">
        <v>421</v>
      </c>
      <c r="E3">
        <v>1.27</v>
      </c>
      <c r="F3" s="24">
        <v>3720</v>
      </c>
      <c r="G3" s="14">
        <v>1700</v>
      </c>
    </row>
    <row r="4" spans="1:7" x14ac:dyDescent="0.45">
      <c r="A4" t="s">
        <v>11</v>
      </c>
      <c r="B4" t="s">
        <v>26</v>
      </c>
      <c r="C4" s="1" t="s">
        <v>43</v>
      </c>
      <c r="D4" s="1">
        <v>515</v>
      </c>
      <c r="E4" s="49">
        <v>1.8</v>
      </c>
      <c r="F4" s="23">
        <v>2995</v>
      </c>
      <c r="G4" s="14">
        <v>5543</v>
      </c>
    </row>
    <row r="5" spans="1:7" x14ac:dyDescent="0.45">
      <c r="A5" t="s">
        <v>12</v>
      </c>
      <c r="B5" t="s">
        <v>23</v>
      </c>
      <c r="C5" s="1" t="s">
        <v>49</v>
      </c>
      <c r="D5" s="1">
        <v>250</v>
      </c>
      <c r="E5">
        <v>0.8</v>
      </c>
      <c r="F5" s="24">
        <v>4703</v>
      </c>
      <c r="G5" s="14">
        <v>200</v>
      </c>
    </row>
    <row r="6" spans="1:7" x14ac:dyDescent="0.45">
      <c r="A6" t="s">
        <v>10</v>
      </c>
      <c r="B6" t="s">
        <v>25</v>
      </c>
      <c r="C6" s="1" t="s">
        <v>43</v>
      </c>
      <c r="D6" s="1">
        <v>475</v>
      </c>
      <c r="E6">
        <v>0.97</v>
      </c>
      <c r="F6" s="14">
        <v>1320</v>
      </c>
      <c r="G6" s="14">
        <v>9350</v>
      </c>
    </row>
    <row r="7" spans="1:7" x14ac:dyDescent="0.45">
      <c r="A7" t="s">
        <v>14</v>
      </c>
      <c r="B7" t="s">
        <v>44</v>
      </c>
      <c r="C7" s="1" t="s">
        <v>51</v>
      </c>
      <c r="D7" s="1">
        <v>450</v>
      </c>
      <c r="E7">
        <v>0.63</v>
      </c>
      <c r="F7" s="14">
        <v>1662</v>
      </c>
      <c r="G7" s="14">
        <v>2817</v>
      </c>
    </row>
    <row r="8" spans="1:7" ht="15" customHeight="1" x14ac:dyDescent="0.45">
      <c r="A8" t="s">
        <v>15</v>
      </c>
      <c r="B8" t="s">
        <v>45</v>
      </c>
      <c r="C8" s="1" t="s">
        <v>50</v>
      </c>
      <c r="D8" s="1">
        <v>600</v>
      </c>
      <c r="E8">
        <v>1.08</v>
      </c>
      <c r="F8" s="14">
        <f>591+626</f>
        <v>1217</v>
      </c>
      <c r="G8" s="14">
        <v>12212</v>
      </c>
    </row>
    <row r="9" spans="1:7" x14ac:dyDescent="0.45">
      <c r="A9" s="1" t="s">
        <v>9</v>
      </c>
      <c r="B9" t="s">
        <v>24</v>
      </c>
      <c r="C9" s="1" t="s">
        <v>43</v>
      </c>
      <c r="D9" s="1">
        <v>560</v>
      </c>
      <c r="E9" s="1">
        <v>0.94</v>
      </c>
      <c r="F9" s="14">
        <v>599</v>
      </c>
      <c r="G9" s="14">
        <v>35385</v>
      </c>
    </row>
    <row r="10" spans="1:7" ht="14.65" thickBot="1" x14ac:dyDescent="0.5">
      <c r="A10" s="16" t="s">
        <v>53</v>
      </c>
      <c r="B10" s="16"/>
      <c r="C10" s="16"/>
      <c r="D10" s="48">
        <f>SUM(D3:D9)</f>
        <v>3271</v>
      </c>
      <c r="E10" s="16">
        <f>SUM(E3:E9)</f>
        <v>7.49</v>
      </c>
      <c r="F10" s="38">
        <f>SUM(F3:F9)</f>
        <v>16216</v>
      </c>
      <c r="G10" s="19">
        <f>SUM(G3:G9)</f>
        <v>67207</v>
      </c>
    </row>
    <row r="11" spans="1:7" ht="14.65" thickTop="1" x14ac:dyDescent="0.45"/>
    <row r="12" spans="1:7" ht="14.65" thickBot="1" x14ac:dyDescent="0.5">
      <c r="A12" s="16" t="s">
        <v>54</v>
      </c>
      <c r="B12" s="16"/>
      <c r="C12" s="16"/>
      <c r="D12" s="26">
        <f>D10/7</f>
        <v>467.28571428571428</v>
      </c>
      <c r="E12" s="25">
        <f>E10/7</f>
        <v>1.07</v>
      </c>
      <c r="F12" s="26">
        <f>F10/7</f>
        <v>2316.5714285714284</v>
      </c>
      <c r="G12" s="26">
        <f>G10/7</f>
        <v>9601</v>
      </c>
    </row>
    <row r="13" spans="1:7" ht="14.65" thickTop="1" x14ac:dyDescent="0.45"/>
  </sheetData>
  <customSheetViews>
    <customSheetView guid="{9E77C585-9C41-42EA-85E3-7AAA1E1E0A18}">
      <selection activeCell="I22" sqref="I22"/>
      <pageMargins left="0.7" right="0.7" top="0.75" bottom="0.75" header="0.3" footer="0.3"/>
      <pageSetup orientation="landscape" horizontalDpi="4294967294" verticalDpi="4294967294" r:id="rId1"/>
    </customSheetView>
    <customSheetView guid="{936D58C3-40C6-49C3-8AEB-F72AB34820B1}">
      <selection activeCell="I22" sqref="I22"/>
      <pageMargins left="0.7" right="0.7" top="0.75" bottom="0.75" header="0.3" footer="0.3"/>
      <pageSetup orientation="landscape" horizontalDpi="4294967294" verticalDpi="4294967294" r:id="rId2"/>
    </customSheetView>
    <customSheetView guid="{43597BCB-7C18-4130-B479-76F8E131D73A}">
      <pageMargins left="0.7" right="0.7" top="0.75" bottom="0.75" header="0.3" footer="0.3"/>
      <pageSetup orientation="landscape" horizontalDpi="4294967294" verticalDpi="4294967294" r:id="rId3"/>
    </customSheetView>
  </customSheetViews>
  <pageMargins left="0.7" right="0.7" top="0.75" bottom="0.75" header="0.3" footer="0.3"/>
  <pageSetup orientation="landscape" horizontalDpi="4294967294" verticalDpi="4294967294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8"/>
  <sheetViews>
    <sheetView workbookViewId="0"/>
  </sheetViews>
  <sheetFormatPr defaultRowHeight="14.25" x14ac:dyDescent="0.45"/>
  <cols>
    <col min="2" max="2" width="16.86328125" customWidth="1"/>
    <col min="3" max="3" width="15.1328125" customWidth="1"/>
    <col min="4" max="4" width="13.3984375" customWidth="1"/>
  </cols>
  <sheetData>
    <row r="4" spans="1:7" x14ac:dyDescent="0.45">
      <c r="B4" t="s">
        <v>61</v>
      </c>
    </row>
    <row r="5" spans="1:7" x14ac:dyDescent="0.45">
      <c r="B5" s="11" t="s">
        <v>27</v>
      </c>
      <c r="C5" s="11" t="s">
        <v>28</v>
      </c>
      <c r="D5" s="11" t="s">
        <v>29</v>
      </c>
      <c r="F5" s="11"/>
      <c r="G5" s="11"/>
    </row>
    <row r="6" spans="1:7" x14ac:dyDescent="0.45">
      <c r="A6">
        <v>2009</v>
      </c>
      <c r="B6" s="4">
        <f>B7/1.098</f>
        <v>149628483.42408362</v>
      </c>
      <c r="C6" s="4">
        <f>C7/1.124</f>
        <v>58886424.205671608</v>
      </c>
      <c r="D6" s="4">
        <f>D7/1.07</f>
        <v>8369119.1654973393</v>
      </c>
    </row>
    <row r="7" spans="1:7" x14ac:dyDescent="0.45">
      <c r="A7">
        <v>2010</v>
      </c>
      <c r="B7" s="4">
        <f>B8/1.123</f>
        <v>164292074.79964381</v>
      </c>
      <c r="C7" s="4">
        <f>C8/1.115</f>
        <v>66188340.807174891</v>
      </c>
      <c r="D7" s="4">
        <f>D8/1.059</f>
        <v>8954957.5070821531</v>
      </c>
    </row>
    <row r="8" spans="1:7" x14ac:dyDescent="0.45">
      <c r="A8">
        <v>2011</v>
      </c>
      <c r="B8" s="4">
        <f>'Exhibit 1'!B11</f>
        <v>184500000</v>
      </c>
      <c r="C8" s="4">
        <f>B8*0.4</f>
        <v>73800000</v>
      </c>
      <c r="D8" s="4">
        <f>'Exhibit 3'!I9</f>
        <v>9483300</v>
      </c>
    </row>
  </sheetData>
  <customSheetViews>
    <customSheetView guid="{9E77C585-9C41-42EA-85E3-7AAA1E1E0A18}">
      <pageMargins left="0.7" right="0.7" top="0.75" bottom="0.75" header="0.3" footer="0.3"/>
      <pageSetup orientation="portrait" horizontalDpi="4294967294" verticalDpi="4294967294" r:id="rId1"/>
    </customSheetView>
    <customSheetView guid="{936D58C3-40C6-49C3-8AEB-F72AB34820B1}">
      <pageMargins left="0.7" right="0.7" top="0.75" bottom="0.75" header="0.3" footer="0.3"/>
      <pageSetup orientation="portrait" horizontalDpi="4294967294" verticalDpi="4294967294" r:id="rId2"/>
    </customSheetView>
    <customSheetView guid="{43597BCB-7C18-4130-B479-76F8E131D73A}">
      <pageMargins left="0.7" right="0.7" top="0.75" bottom="0.75" header="0.3" footer="0.3"/>
      <pageSetup orientation="portrait" horizontalDpi="4294967294" verticalDpi="4294967294" r:id="rId3"/>
    </customSheetView>
  </customSheetViews>
  <pageMargins left="0.7" right="0.7" top="0.75" bottom="0.75" header="0.3" footer="0.3"/>
  <pageSetup orientation="portrait" horizontalDpi="4294967294" verticalDpi="4294967294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4" sqref="D4"/>
    </sheetView>
  </sheetViews>
  <sheetFormatPr defaultRowHeight="14.25" x14ac:dyDescent="0.45"/>
  <cols>
    <col min="1" max="1" width="11" customWidth="1"/>
    <col min="2" max="2" width="20.1328125" customWidth="1"/>
    <col min="3" max="3" width="14.73046875" customWidth="1"/>
  </cols>
  <sheetData>
    <row r="1" spans="1:4" ht="42.75" x14ac:dyDescent="0.45">
      <c r="B1" s="34" t="s">
        <v>62</v>
      </c>
      <c r="C1" s="34" t="s">
        <v>22</v>
      </c>
      <c r="D1" s="34" t="s">
        <v>63</v>
      </c>
    </row>
    <row r="2" spans="1:4" x14ac:dyDescent="0.45">
      <c r="A2" t="s">
        <v>64</v>
      </c>
      <c r="B2" s="1" t="s">
        <v>66</v>
      </c>
      <c r="C2">
        <f>'Exhibit 6'!E3</f>
        <v>1.27</v>
      </c>
      <c r="D2" s="27">
        <f>'Exhibit 4'!B4/'Exhibit 1'!$B$11</f>
        <v>1.0794E-2</v>
      </c>
    </row>
    <row r="3" spans="1:4" x14ac:dyDescent="0.45">
      <c r="A3" t="s">
        <v>65</v>
      </c>
      <c r="B3" s="1" t="s">
        <v>26</v>
      </c>
      <c r="C3">
        <f>'Exhibit 6'!E4</f>
        <v>1.8</v>
      </c>
      <c r="D3" s="27">
        <f>'Exhibit 4'!B5/'Exhibit 1'!$B$11</f>
        <v>9.2519999999999998E-3</v>
      </c>
    </row>
    <row r="4" spans="1:4" x14ac:dyDescent="0.45">
      <c r="A4" t="s">
        <v>12</v>
      </c>
      <c r="B4" s="1" t="s">
        <v>67</v>
      </c>
      <c r="C4">
        <f>'Exhibit 6'!E5</f>
        <v>0.8</v>
      </c>
      <c r="D4" s="27">
        <f>'Exhibit 4'!B6/'Exhibit 1'!B11</f>
        <v>8.2240000000000004E-3</v>
      </c>
    </row>
    <row r="5" spans="1:4" x14ac:dyDescent="0.45">
      <c r="A5" t="s">
        <v>10</v>
      </c>
      <c r="B5" s="1" t="s">
        <v>25</v>
      </c>
      <c r="C5">
        <f>'Exhibit 6'!E6</f>
        <v>0.97</v>
      </c>
      <c r="D5" s="27">
        <f>'Exhibit 4'!B7/'Exhibit 1'!B11</f>
        <v>7.7099999999999998E-3</v>
      </c>
    </row>
    <row r="6" spans="1:4" x14ac:dyDescent="0.45">
      <c r="A6" t="s">
        <v>14</v>
      </c>
      <c r="B6" s="1" t="s">
        <v>69</v>
      </c>
      <c r="C6">
        <f>'Exhibit 6'!E7</f>
        <v>0.63</v>
      </c>
      <c r="D6" s="27">
        <f>'Exhibit 4'!B8/'Exhibit 1'!B11</f>
        <v>7.196000000000001E-3</v>
      </c>
    </row>
    <row r="7" spans="1:4" x14ac:dyDescent="0.45">
      <c r="A7" t="s">
        <v>15</v>
      </c>
      <c r="B7" s="1" t="s">
        <v>68</v>
      </c>
      <c r="C7">
        <f>'Exhibit 6'!E8</f>
        <v>1.08</v>
      </c>
      <c r="D7" s="27">
        <f>'Exhibit 4'!B9/'Exhibit 1'!B11</f>
        <v>4.6259999999999999E-3</v>
      </c>
    </row>
    <row r="8" spans="1:4" x14ac:dyDescent="0.45">
      <c r="A8" s="1" t="s">
        <v>9</v>
      </c>
      <c r="B8" s="1" t="s">
        <v>24</v>
      </c>
      <c r="C8">
        <f>'Exhibit 6'!E9</f>
        <v>0.94</v>
      </c>
      <c r="D8" s="27">
        <f>'Exhibit 4'!B10/'Exhibit 1'!B11</f>
        <v>3.5980000000000005E-3</v>
      </c>
    </row>
    <row r="9" spans="1:4" ht="14.65" thickBot="1" x14ac:dyDescent="0.5">
      <c r="A9" s="16" t="s">
        <v>33</v>
      </c>
      <c r="B9" s="16"/>
      <c r="C9" s="16">
        <f>SUM(C2:C8)</f>
        <v>7.49</v>
      </c>
      <c r="D9" s="28">
        <f>SUM(D2:D8)</f>
        <v>5.1400000000000001E-2</v>
      </c>
    </row>
    <row r="10" spans="1:4" ht="14.65" thickTop="1" x14ac:dyDescent="0.45"/>
  </sheetData>
  <customSheetViews>
    <customSheetView guid="{9E77C585-9C41-42EA-85E3-7AAA1E1E0A18}">
      <selection activeCell="D4" sqref="D4"/>
      <pageMargins left="0.7" right="0.7" top="0.75" bottom="0.75" header="0.3" footer="0.3"/>
      <pageSetup orientation="portrait" horizontalDpi="4294967294" verticalDpi="4294967294" r:id="rId1"/>
    </customSheetView>
    <customSheetView guid="{936D58C3-40C6-49C3-8AEB-F72AB34820B1}">
      <selection activeCell="H27" sqref="H27"/>
      <pageMargins left="0.7" right="0.7" top="0.75" bottom="0.75" header="0.3" footer="0.3"/>
      <pageSetup orientation="portrait" horizontalDpi="4294967294" verticalDpi="4294967294" r:id="rId2"/>
    </customSheetView>
    <customSheetView guid="{43597BCB-7C18-4130-B479-76F8E131D73A}">
      <selection activeCell="D3" sqref="D3"/>
      <pageMargins left="0.7" right="0.7" top="0.75" bottom="0.75" header="0.3" footer="0.3"/>
      <pageSetup orientation="portrait" horizontalDpi="4294967294" verticalDpi="4294967294" r:id="rId3"/>
    </customSheetView>
  </customSheetViews>
  <pageMargins left="0.7" right="0.7" top="0.75" bottom="0.75" header="0.3" footer="0.3"/>
  <pageSetup orientation="portrait" horizontalDpi="4294967294" verticalDpi="4294967294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4.25" x14ac:dyDescent="0.45"/>
  <sheetData/>
  <customSheetViews>
    <customSheetView guid="{9E77C585-9C41-42EA-85E3-7AAA1E1E0A18}">
      <selection activeCell="K18" sqref="K1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Exhibit 1</vt:lpstr>
      <vt:lpstr>Exhibit 3</vt:lpstr>
      <vt:lpstr>Exhibit 4</vt:lpstr>
      <vt:lpstr>Exhibit 5 </vt:lpstr>
      <vt:lpstr>Exhibit 6</vt:lpstr>
      <vt:lpstr>Sales Growth US, Reg, District</vt:lpstr>
      <vt:lpstr>Buying Power Index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apetrosy</dc:creator>
  <cp:lastModifiedBy>apetrosy</cp:lastModifiedBy>
  <cp:lastPrinted>2013-06-12T14:15:44Z</cp:lastPrinted>
  <dcterms:created xsi:type="dcterms:W3CDTF">2013-06-06T13:42:11Z</dcterms:created>
  <dcterms:modified xsi:type="dcterms:W3CDTF">2019-12-10T00:29:40Z</dcterms:modified>
</cp:coreProperties>
</file>